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685"/>
  </bookViews>
  <sheets>
    <sheet name="F5 Analysys" sheetId="1" r:id="rId1"/>
  </sheets>
  <externalReferences>
    <externalReference r:id="rId2"/>
  </externalReferences>
  <definedNames>
    <definedName name="Curr">'[1]F1 DB'!$S$1</definedName>
    <definedName name="Print_Area" localSheetId="0">'F5 Analysys'!$B$2:$AB$33</definedName>
    <definedName name="ProdUnit">'[1]F2 Gewinn'!$T$9</definedName>
    <definedName name="Unit">'[1]F1 DB'!$N$1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U31" i="1"/>
  <c r="E5" i="1"/>
  <c r="E6" i="1"/>
  <c r="G8" i="1"/>
  <c r="U8" i="1"/>
  <c r="G9" i="1"/>
  <c r="U9" i="1"/>
  <c r="G10" i="1"/>
  <c r="K10" i="1"/>
  <c r="U10" i="1"/>
  <c r="E12" i="1"/>
  <c r="G12" i="1"/>
  <c r="K12" i="1"/>
  <c r="U12" i="1"/>
  <c r="E14" i="1"/>
  <c r="G14" i="1"/>
  <c r="K14" i="1"/>
  <c r="U14" i="1"/>
  <c r="G17" i="1"/>
  <c r="K17" i="1"/>
  <c r="U17" i="1"/>
  <c r="E23" i="1"/>
  <c r="G23" i="1"/>
  <c r="K23" i="1"/>
  <c r="U23" i="1"/>
  <c r="E24" i="1"/>
  <c r="G24" i="1"/>
  <c r="K24" i="1"/>
  <c r="U24" i="1"/>
  <c r="E25" i="1"/>
  <c r="G25" i="1"/>
  <c r="K25" i="1"/>
  <c r="U25" i="1"/>
  <c r="E26" i="1"/>
  <c r="G26" i="1"/>
  <c r="K26" i="1"/>
  <c r="U26" i="1"/>
  <c r="G27" i="1"/>
  <c r="K27" i="1"/>
  <c r="U27" i="1"/>
  <c r="G28" i="1"/>
  <c r="K28" i="1"/>
  <c r="U28" i="1"/>
  <c r="U30" i="1"/>
  <c r="U32" i="1"/>
  <c r="T31" i="1"/>
  <c r="T8" i="1"/>
  <c r="T9" i="1"/>
  <c r="T10" i="1"/>
  <c r="T12" i="1"/>
  <c r="G16" i="1"/>
  <c r="K16" i="1"/>
  <c r="T16" i="1"/>
  <c r="T17" i="1"/>
  <c r="T23" i="1"/>
  <c r="T24" i="1"/>
  <c r="T25" i="1"/>
  <c r="T27" i="1"/>
  <c r="T28" i="1"/>
  <c r="T30" i="1"/>
  <c r="T32" i="1"/>
  <c r="S31" i="1"/>
  <c r="S8" i="1"/>
  <c r="S9" i="1"/>
  <c r="S10" i="1"/>
  <c r="S14" i="1"/>
  <c r="S16" i="1"/>
  <c r="S17" i="1"/>
  <c r="S23" i="1"/>
  <c r="S24" i="1"/>
  <c r="S26" i="1"/>
  <c r="S27" i="1"/>
  <c r="S28" i="1"/>
  <c r="S30" i="1"/>
  <c r="S32" i="1"/>
  <c r="G6" i="1"/>
  <c r="AA29" i="1"/>
  <c r="Y9" i="1"/>
  <c r="Y10" i="1"/>
  <c r="Y12" i="1"/>
  <c r="Y14" i="1"/>
  <c r="Y16" i="1"/>
  <c r="Y17" i="1"/>
  <c r="Y23" i="1"/>
  <c r="Y24" i="1"/>
  <c r="Y25" i="1"/>
  <c r="Y26" i="1"/>
  <c r="Y27" i="1"/>
  <c r="Y28" i="1"/>
  <c r="Y29" i="1"/>
  <c r="Z29" i="1"/>
  <c r="O8" i="1"/>
  <c r="O9" i="1"/>
  <c r="O10" i="1"/>
  <c r="O11" i="1"/>
  <c r="O12" i="1"/>
  <c r="O13" i="1"/>
  <c r="O14" i="1"/>
  <c r="O15" i="1"/>
  <c r="O16" i="1"/>
  <c r="O17" i="1"/>
  <c r="O18" i="1"/>
  <c r="O23" i="1"/>
  <c r="O24" i="1"/>
  <c r="O25" i="1"/>
  <c r="O26" i="1"/>
  <c r="O27" i="1"/>
  <c r="O28" i="1"/>
  <c r="O29" i="1"/>
  <c r="K11" i="1"/>
  <c r="K13" i="1"/>
  <c r="K15" i="1"/>
  <c r="K18" i="1"/>
  <c r="K29" i="1"/>
  <c r="F28" i="1"/>
  <c r="F27" i="1"/>
  <c r="F25" i="1"/>
  <c r="F24" i="1"/>
  <c r="F23" i="1"/>
  <c r="U20" i="1"/>
  <c r="U19" i="1"/>
  <c r="U21" i="1"/>
  <c r="T20" i="1"/>
  <c r="T19" i="1"/>
  <c r="T21" i="1"/>
  <c r="S20" i="1"/>
  <c r="S19" i="1"/>
  <c r="S21" i="1"/>
  <c r="Z9" i="1"/>
  <c r="Z10" i="1"/>
  <c r="Z12" i="1"/>
  <c r="Z13" i="1"/>
  <c r="Z14" i="1"/>
  <c r="Z15" i="1"/>
  <c r="Z16" i="1"/>
  <c r="Z17" i="1"/>
  <c r="Z18" i="1"/>
  <c r="AA18" i="1"/>
  <c r="AA17" i="1"/>
  <c r="F17" i="1"/>
  <c r="AA15" i="1"/>
  <c r="AA14" i="1"/>
  <c r="AA13" i="1"/>
  <c r="AA12" i="1"/>
  <c r="F12" i="1"/>
  <c r="F10" i="1"/>
  <c r="F9" i="1"/>
  <c r="F8" i="1"/>
  <c r="S6" i="1"/>
  <c r="F6" i="1"/>
  <c r="F5" i="1"/>
  <c r="Y2" i="1"/>
</calcChain>
</file>

<file path=xl/comments1.xml><?xml version="1.0" encoding="utf-8"?>
<comments xmlns="http://schemas.openxmlformats.org/spreadsheetml/2006/main">
  <authors>
    <author>Christian.Schuh@fh-weihenstephan.de</author>
    <author>Ch. Schuh</author>
  </authors>
  <commentList>
    <comment ref="L2" authorId="0" shapeId="0">
      <text>
        <r>
          <rPr>
            <b/>
            <sz val="8"/>
            <color indexed="81"/>
            <rFont val="Tahoma"/>
            <family val="2"/>
          </rPr>
          <t>Eingabezelle</t>
        </r>
      </text>
    </comment>
    <comment ref="Y2" authorId="0" shapeId="0">
      <text>
        <r>
          <rPr>
            <b/>
            <sz val="8"/>
            <color indexed="81"/>
            <rFont val="Tahoma"/>
            <family val="2"/>
          </rPr>
          <t>Eingabezelle</t>
        </r>
      </text>
    </comment>
    <comment ref="E5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6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6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8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9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10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12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12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14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14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16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16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17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23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3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24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4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25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5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E26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6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7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  <comment ref="G28" authorId="1" shapeId="0">
      <text>
        <r>
          <rPr>
            <sz val="8"/>
            <color indexed="81"/>
            <rFont val="Tahoma"/>
            <family val="2"/>
          </rPr>
          <t>Eingabezelle</t>
        </r>
      </text>
    </comment>
  </commentList>
</comments>
</file>

<file path=xl/sharedStrings.xml><?xml version="1.0" encoding="utf-8"?>
<sst xmlns="http://schemas.openxmlformats.org/spreadsheetml/2006/main" count="48" uniqueCount="43">
  <si>
    <t>Efficiency measures for farm enterprises</t>
  </si>
  <si>
    <t>Unit: 1</t>
  </si>
  <si>
    <t>&lt; Form 5 &gt;</t>
  </si>
  <si>
    <t>Main output:</t>
  </si>
  <si>
    <t>Yield:</t>
  </si>
  <si>
    <t>Costs</t>
  </si>
  <si>
    <t>GM /</t>
  </si>
  <si>
    <t>Return to factor input</t>
  </si>
  <si>
    <t>Price Threshold</t>
  </si>
  <si>
    <t>Price:</t>
  </si>
  <si>
    <t>Net Profit</t>
  </si>
  <si>
    <t>Labour (h)</t>
  </si>
  <si>
    <t>Land (ha)</t>
  </si>
  <si>
    <t>long term</t>
  </si>
  <si>
    <t>short term</t>
  </si>
  <si>
    <t>Main output (yield × price)</t>
  </si>
  <si>
    <t>Spin-off output (incl. direct payments)</t>
  </si>
  <si>
    <t>Variable costs (from form 1)</t>
  </si>
  <si>
    <t>Gross Margin (excl. capital, labour, land)</t>
  </si>
  <si>
    <t>Imputed costs f. work. capital</t>
  </si>
  <si>
    <t>Production Threshold I</t>
  </si>
  <si>
    <t>Imputed costs f. labour</t>
  </si>
  <si>
    <t>h  ×</t>
  </si>
  <si>
    <t>Production Threshold II</t>
  </si>
  <si>
    <t>Imputed costs f. total land</t>
  </si>
  <si>
    <t>ha  ×</t>
  </si>
  <si>
    <t>Other opportunity costs</t>
  </si>
  <si>
    <t>Production Threshold III</t>
  </si>
  <si>
    <t>Short term</t>
  </si>
  <si>
    <t>Total return to factor</t>
  </si>
  <si>
    <t>Factor efficiency</t>
  </si>
  <si>
    <t>Total factor input</t>
  </si>
  <si>
    <t>Return to factor per factor unit</t>
  </si>
  <si>
    <t>Depreciation for mechanisation:</t>
  </si>
  <si>
    <t>Depreciation for buildings:</t>
  </si>
  <si>
    <t>Imputed costs f. fixed assets</t>
  </si>
  <si>
    <t>Imput. costs f. general labour</t>
  </si>
  <si>
    <t>Other fixed costs for build. &amp; mechan.</t>
  </si>
  <si>
    <t xml:space="preserve">Other fixed and overhead costs </t>
  </si>
  <si>
    <t>Profitability Threshold</t>
  </si>
  <si>
    <t>Long term</t>
  </si>
  <si>
    <t>Winter wheat</t>
  </si>
  <si>
    <r>
      <t xml:space="preserve">Alternative "Factor Costs" </t>
    </r>
    <r>
      <rPr>
        <i/>
        <sz val="11"/>
        <rFont val="Arial"/>
        <family val="2"/>
      </rPr>
      <t>( from previous chapters)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</si>
</sst>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#,##0.00;\-#,##0.00;;"/>
    <numFmt numFmtId="165" formatCode="#,##0;\-#,##0;;"/>
    <numFmt numFmtId="166" formatCode="\+* #,##0.00;\–* #,##0.00;\+* ;@"/>
    <numFmt numFmtId="167" formatCode="#,##0.00;\-#,##0.00;;@"/>
    <numFmt numFmtId="168" formatCode="\+* #,##0.00;\–* #,##0.00;\–* ;@"/>
    <numFmt numFmtId="169" formatCode="\=* #,##0.00;\=* \-#,##0.00;\=* ;@"/>
    <numFmt numFmtId="170" formatCode="\+* #,##0.00;\–* #,##0.00;0.00;@"/>
    <numFmt numFmtId="171" formatCode="0.0%;\-0.0%;;"/>
    <numFmt numFmtId="172" formatCode="\×* 0.0%"/>
    <numFmt numFmtId="173" formatCode="\=\&gt;* #,##0.00;\=\&gt;* \-#,##0.00;\=\&gt;* ;@"/>
    <numFmt numFmtId="174" formatCode="\×* 0.00"/>
    <numFmt numFmtId="175" formatCode="General;\-General;;"/>
    <numFmt numFmtId="176" formatCode="\×* #,##0"/>
    <numFmt numFmtId="177" formatCode="\=* #,##0.00"/>
    <numFmt numFmtId="178" formatCode="&quot;:&quot;* #,##0.00;&quot;:&quot;* \-#,##0.00;&quot;:&quot;* ;@"/>
    <numFmt numFmtId="179" formatCode="\=* #,##0.0%;\=* \-#,##0.0%;\=* ;@"/>
    <numFmt numFmtId="180" formatCode="_-* #,##0.00\ _D_M_-;\-* #,##0.00\ _D_M_-;_-* &quot;-&quot;??\ _D_M_-;_-@_-"/>
    <numFmt numFmtId="181" formatCode="\=* #,##0.00%;\=* \-#,##0.00%;\=* ;@"/>
  </numFmts>
  <fonts count="13" x14ac:knownFonts="1">
    <font>
      <sz val="1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n">
        <color indexed="64"/>
      </right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hair">
        <color indexed="64"/>
      </bottom>
      <diagonal/>
    </border>
    <border>
      <left style="thick">
        <color theme="9" tint="-0.24994659260841701"/>
      </left>
      <right/>
      <top/>
      <bottom style="hair">
        <color indexed="64"/>
      </bottom>
      <diagonal/>
    </border>
    <border>
      <left style="thick">
        <color theme="9" tint="-0.24994659260841701"/>
      </left>
      <right/>
      <top style="hair">
        <color indexed="64"/>
      </top>
      <bottom style="hair">
        <color indexed="64"/>
      </bottom>
      <diagonal/>
    </border>
    <border>
      <left style="thick">
        <color theme="9" tint="-0.24994659260841701"/>
      </left>
      <right/>
      <top style="hair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hair">
        <color indexed="64"/>
      </top>
      <bottom/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n">
        <color indexed="64"/>
      </right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</cellStyleXfs>
  <cellXfs count="15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/>
    <xf numFmtId="0" fontId="0" fillId="0" borderId="0" xfId="0" applyBorder="1" applyAlignment="1" applyProtection="1">
      <protection locked="0"/>
    </xf>
    <xf numFmtId="0" fontId="0" fillId="0" borderId="0" xfId="0" applyProtection="1">
      <protection locked="0"/>
    </xf>
    <xf numFmtId="0" fontId="4" fillId="0" borderId="0" xfId="2" quotePrefix="1" applyFont="1" applyBorder="1" applyAlignment="1" applyProtection="1">
      <alignment horizontal="right" vertical="center"/>
      <protection locked="0"/>
    </xf>
    <xf numFmtId="0" fontId="0" fillId="3" borderId="0" xfId="0" applyFill="1" applyBorder="1" applyProtection="1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164" fontId="0" fillId="0" borderId="0" xfId="0" applyNumberFormat="1" applyFill="1" applyBorder="1" applyProtection="1">
      <protection locked="0"/>
    </xf>
    <xf numFmtId="0" fontId="1" fillId="2" borderId="0" xfId="3" applyFill="1" applyBorder="1" applyProtection="1"/>
    <xf numFmtId="0" fontId="0" fillId="2" borderId="2" xfId="0" applyFill="1" applyBorder="1" applyProtection="1"/>
    <xf numFmtId="0" fontId="0" fillId="0" borderId="0" xfId="0" applyFill="1" applyBorder="1" applyProtection="1"/>
    <xf numFmtId="0" fontId="5" fillId="2" borderId="3" xfId="0" applyFont="1" applyFill="1" applyBorder="1" applyAlignment="1" applyProtection="1">
      <alignment horizontal="centerContinuous"/>
    </xf>
    <xf numFmtId="0" fontId="5" fillId="3" borderId="0" xfId="0" applyFont="1" applyFill="1" applyBorder="1" applyProtection="1"/>
    <xf numFmtId="0" fontId="5" fillId="2" borderId="3" xfId="0" quotePrefix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Continuous"/>
    </xf>
    <xf numFmtId="0" fontId="5" fillId="2" borderId="5" xfId="0" applyFont="1" applyFill="1" applyBorder="1" applyAlignment="1" applyProtection="1">
      <alignment horizontal="centerContinuous"/>
    </xf>
    <xf numFmtId="0" fontId="5" fillId="2" borderId="6" xfId="0" applyFont="1" applyFill="1" applyBorder="1" applyAlignment="1" applyProtection="1">
      <alignment horizontal="centerContinuous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/>
    <xf numFmtId="164" fontId="0" fillId="0" borderId="1" xfId="0" applyNumberFormat="1" applyFill="1" applyBorder="1" applyProtection="1">
      <protection locked="0"/>
    </xf>
    <xf numFmtId="0" fontId="0" fillId="2" borderId="1" xfId="0" quotePrefix="1" applyFill="1" applyBorder="1" applyAlignment="1" applyProtection="1">
      <alignment horizontal="left"/>
    </xf>
    <xf numFmtId="0" fontId="0" fillId="0" borderId="1" xfId="0" applyFill="1" applyBorder="1" applyProtection="1">
      <protection locked="0"/>
    </xf>
    <xf numFmtId="0" fontId="0" fillId="2" borderId="8" xfId="0" applyFill="1" applyBorder="1" applyProtection="1"/>
    <xf numFmtId="0" fontId="1" fillId="2" borderId="9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1" fillId="2" borderId="9" xfId="0" quotePrefix="1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1" fillId="2" borderId="10" xfId="0" quotePrefix="1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2" borderId="12" xfId="0" applyFill="1" applyBorder="1" applyProtection="1"/>
    <xf numFmtId="0" fontId="0" fillId="2" borderId="12" xfId="0" quotePrefix="1" applyFill="1" applyBorder="1" applyAlignment="1" applyProtection="1">
      <alignment horizontal="right"/>
    </xf>
    <xf numFmtId="165" fontId="0" fillId="0" borderId="12" xfId="0" applyNumberFormat="1" applyFill="1" applyBorder="1" applyProtection="1">
      <protection locked="0"/>
    </xf>
    <xf numFmtId="0" fontId="0" fillId="2" borderId="13" xfId="0" applyFill="1" applyBorder="1" applyProtection="1"/>
    <xf numFmtId="166" fontId="0" fillId="0" borderId="14" xfId="0" applyNumberFormat="1" applyBorder="1" applyProtection="1"/>
    <xf numFmtId="166" fontId="0" fillId="0" borderId="11" xfId="0" applyNumberFormat="1" applyBorder="1" applyProtection="1"/>
    <xf numFmtId="0" fontId="0" fillId="2" borderId="15" xfId="0" applyFill="1" applyBorder="1" applyProtection="1"/>
    <xf numFmtId="0" fontId="0" fillId="2" borderId="16" xfId="0" applyFill="1" applyBorder="1" applyAlignment="1" applyProtection="1">
      <alignment horizontal="right"/>
    </xf>
    <xf numFmtId="165" fontId="0" fillId="0" borderId="16" xfId="0" applyNumberFormat="1" applyFill="1" applyBorder="1" applyProtection="1">
      <protection locked="0"/>
    </xf>
    <xf numFmtId="0" fontId="0" fillId="2" borderId="17" xfId="0" applyFill="1" applyBorder="1" applyProtection="1"/>
    <xf numFmtId="167" fontId="0" fillId="3" borderId="0" xfId="0" applyNumberFormat="1" applyFill="1" applyBorder="1" applyProtection="1"/>
    <xf numFmtId="166" fontId="0" fillId="0" borderId="18" xfId="0" applyNumberFormat="1" applyBorder="1" applyProtection="1"/>
    <xf numFmtId="166" fontId="0" fillId="0" borderId="19" xfId="0" applyNumberFormat="1" applyBorder="1" applyProtection="1"/>
    <xf numFmtId="168" fontId="0" fillId="0" borderId="14" xfId="0" applyNumberFormat="1" applyFill="1" applyBorder="1" applyProtection="1"/>
    <xf numFmtId="0" fontId="0" fillId="2" borderId="16" xfId="0" applyFill="1" applyBorder="1" applyProtection="1"/>
    <xf numFmtId="0" fontId="0" fillId="2" borderId="20" xfId="0" applyFill="1" applyBorder="1" applyProtection="1"/>
    <xf numFmtId="168" fontId="0" fillId="0" borderId="18" xfId="0" applyNumberFormat="1" applyBorder="1" applyProtection="1"/>
    <xf numFmtId="168" fontId="0" fillId="0" borderId="21" xfId="0" applyNumberFormat="1" applyBorder="1" applyProtection="1"/>
    <xf numFmtId="168" fontId="0" fillId="0" borderId="22" xfId="0" applyNumberFormat="1" applyBorder="1" applyProtection="1"/>
    <xf numFmtId="166" fontId="0" fillId="0" borderId="21" xfId="0" applyNumberFormat="1" applyBorder="1" applyProtection="1"/>
    <xf numFmtId="0" fontId="0" fillId="2" borderId="23" xfId="0" applyFill="1" applyBorder="1" applyProtection="1"/>
    <xf numFmtId="0" fontId="0" fillId="2" borderId="24" xfId="0" applyFill="1" applyBorder="1" applyProtection="1"/>
    <xf numFmtId="169" fontId="5" fillId="0" borderId="9" xfId="0" applyNumberFormat="1" applyFont="1" applyBorder="1" applyProtection="1"/>
    <xf numFmtId="168" fontId="0" fillId="3" borderId="0" xfId="0" applyNumberFormat="1" applyFill="1" applyBorder="1" applyProtection="1"/>
    <xf numFmtId="170" fontId="0" fillId="3" borderId="0" xfId="0" applyNumberFormat="1" applyFill="1" applyBorder="1" applyProtection="1"/>
    <xf numFmtId="0" fontId="0" fillId="2" borderId="16" xfId="0" quotePrefix="1" applyFill="1" applyBorder="1" applyAlignment="1" applyProtection="1">
      <alignment horizontal="left"/>
    </xf>
    <xf numFmtId="171" fontId="1" fillId="0" borderId="16" xfId="1" applyNumberFormat="1" applyFont="1" applyFill="1" applyBorder="1" applyProtection="1">
      <protection locked="0"/>
    </xf>
    <xf numFmtId="172" fontId="0" fillId="2" borderId="20" xfId="0" applyNumberFormat="1" applyFill="1" applyBorder="1" applyProtection="1"/>
    <xf numFmtId="168" fontId="0" fillId="0" borderId="14" xfId="0" applyNumberFormat="1" applyBorder="1" applyProtection="1"/>
    <xf numFmtId="168" fontId="0" fillId="3" borderId="0" xfId="0" quotePrefix="1" applyNumberFormat="1" applyFill="1" applyBorder="1" applyAlignment="1" applyProtection="1">
      <alignment horizontal="center"/>
    </xf>
    <xf numFmtId="168" fontId="0" fillId="0" borderId="10" xfId="0" applyNumberFormat="1" applyBorder="1" applyProtection="1"/>
    <xf numFmtId="166" fontId="0" fillId="0" borderId="10" xfId="0" applyNumberFormat="1" applyBorder="1" applyProtection="1"/>
    <xf numFmtId="0" fontId="0" fillId="3" borderId="0" xfId="0" quotePrefix="1" applyFill="1" applyBorder="1" applyAlignment="1" applyProtection="1">
      <alignment horizontal="center"/>
    </xf>
    <xf numFmtId="0" fontId="8" fillId="0" borderId="0" xfId="0" quotePrefix="1" applyFont="1" applyAlignment="1" applyProtection="1">
      <alignment horizontal="left"/>
      <protection locked="0"/>
    </xf>
    <xf numFmtId="0" fontId="0" fillId="2" borderId="26" xfId="0" applyFill="1" applyBorder="1" applyProtection="1"/>
    <xf numFmtId="0" fontId="0" fillId="2" borderId="27" xfId="0" applyFill="1" applyBorder="1" applyProtection="1"/>
    <xf numFmtId="169" fontId="5" fillId="0" borderId="28" xfId="0" applyNumberFormat="1" applyFont="1" applyBorder="1" applyProtection="1"/>
    <xf numFmtId="169" fontId="5" fillId="0" borderId="25" xfId="0" applyNumberFormat="1" applyFont="1" applyBorder="1" applyProtection="1"/>
    <xf numFmtId="173" fontId="5" fillId="0" borderId="6" xfId="0" applyNumberFormat="1" applyFont="1" applyBorder="1" applyProtection="1"/>
    <xf numFmtId="164" fontId="0" fillId="0" borderId="16" xfId="0" applyNumberFormat="1" applyFill="1" applyBorder="1" applyProtection="1">
      <protection locked="0"/>
    </xf>
    <xf numFmtId="174" fontId="0" fillId="2" borderId="20" xfId="0" applyNumberFormat="1" applyFill="1" applyBorder="1" applyProtection="1"/>
    <xf numFmtId="169" fontId="5" fillId="0" borderId="18" xfId="0" applyNumberFormat="1" applyFont="1" applyBorder="1" applyProtection="1"/>
    <xf numFmtId="169" fontId="5" fillId="0" borderId="19" xfId="0" applyNumberFormat="1" applyFont="1" applyBorder="1" applyProtection="1"/>
    <xf numFmtId="175" fontId="0" fillId="0" borderId="16" xfId="0" applyNumberFormat="1" applyFill="1" applyBorder="1" applyAlignment="1" applyProtection="1">
      <alignment horizontal="right"/>
      <protection locked="0"/>
    </xf>
    <xf numFmtId="176" fontId="0" fillId="2" borderId="20" xfId="0" applyNumberFormat="1" applyFill="1" applyBorder="1" applyProtection="1"/>
    <xf numFmtId="168" fontId="0" fillId="0" borderId="9" xfId="0" applyNumberFormat="1" applyBorder="1" applyProtection="1"/>
    <xf numFmtId="166" fontId="0" fillId="0" borderId="9" xfId="0" applyNumberFormat="1" applyBorder="1" applyProtection="1"/>
    <xf numFmtId="166" fontId="0" fillId="0" borderId="29" xfId="0" applyNumberFormat="1" applyBorder="1" applyProtection="1"/>
    <xf numFmtId="169" fontId="5" fillId="0" borderId="22" xfId="0" applyNumberFormat="1" applyFont="1" applyBorder="1" applyProtection="1"/>
    <xf numFmtId="0" fontId="0" fillId="2" borderId="15" xfId="0" quotePrefix="1" applyFill="1" applyBorder="1" applyAlignment="1" applyProtection="1">
      <alignment horizontal="right"/>
    </xf>
    <xf numFmtId="0" fontId="0" fillId="2" borderId="17" xfId="0" quotePrefix="1" applyFill="1" applyBorder="1" applyAlignment="1" applyProtection="1">
      <alignment horizontal="right"/>
    </xf>
    <xf numFmtId="177" fontId="0" fillId="3" borderId="0" xfId="0" applyNumberFormat="1" applyFill="1" applyBorder="1" applyProtection="1"/>
    <xf numFmtId="169" fontId="5" fillId="0" borderId="14" xfId="0" applyNumberFormat="1" applyFont="1" applyBorder="1" applyProtection="1"/>
    <xf numFmtId="0" fontId="0" fillId="2" borderId="16" xfId="0" quotePrefix="1" applyFill="1" applyBorder="1" applyAlignment="1" applyProtection="1">
      <alignment horizontal="right"/>
    </xf>
    <xf numFmtId="0" fontId="0" fillId="2" borderId="20" xfId="0" quotePrefix="1" applyFill="1" applyBorder="1" applyAlignment="1" applyProtection="1">
      <alignment horizontal="right"/>
    </xf>
    <xf numFmtId="178" fontId="0" fillId="0" borderId="18" xfId="0" applyNumberFormat="1" applyBorder="1" applyProtection="1"/>
    <xf numFmtId="178" fontId="0" fillId="0" borderId="18" xfId="0" applyNumberFormat="1" applyBorder="1" applyAlignment="1" applyProtection="1">
      <alignment horizontal="right"/>
    </xf>
    <xf numFmtId="0" fontId="0" fillId="2" borderId="1" xfId="0" quotePrefix="1" applyFill="1" applyBorder="1" applyAlignment="1" applyProtection="1">
      <alignment horizontal="right"/>
    </xf>
    <xf numFmtId="0" fontId="0" fillId="2" borderId="8" xfId="0" applyFill="1" applyBorder="1" applyAlignment="1" applyProtection="1">
      <alignment horizontal="right"/>
    </xf>
    <xf numFmtId="179" fontId="5" fillId="0" borderId="21" xfId="1" applyNumberFormat="1" applyFont="1" applyBorder="1" applyProtection="1"/>
    <xf numFmtId="169" fontId="5" fillId="0" borderId="21" xfId="0" applyNumberFormat="1" applyFont="1" applyBorder="1" applyProtection="1"/>
    <xf numFmtId="3" fontId="0" fillId="2" borderId="12" xfId="0" quotePrefix="1" applyNumberFormat="1" applyFill="1" applyBorder="1" applyAlignment="1" applyProtection="1">
      <alignment horizontal="left"/>
    </xf>
    <xf numFmtId="171" fontId="1" fillId="0" borderId="12" xfId="1" applyNumberFormat="1" applyFont="1" applyFill="1" applyBorder="1" applyProtection="1">
      <protection locked="0"/>
    </xf>
    <xf numFmtId="165" fontId="0" fillId="0" borderId="15" xfId="0" applyNumberFormat="1" applyFill="1" applyBorder="1" applyProtection="1">
      <protection locked="0"/>
    </xf>
    <xf numFmtId="3" fontId="0" fillId="2" borderId="15" xfId="0" quotePrefix="1" applyNumberFormat="1" applyFill="1" applyBorder="1" applyAlignment="1" applyProtection="1">
      <alignment horizontal="left"/>
    </xf>
    <xf numFmtId="171" fontId="1" fillId="0" borderId="15" xfId="1" applyNumberFormat="1" applyFont="1" applyFill="1" applyBorder="1" applyProtection="1">
      <protection locked="0"/>
    </xf>
    <xf numFmtId="168" fontId="0" fillId="0" borderId="29" xfId="0" applyNumberFormat="1" applyBorder="1" applyProtection="1"/>
    <xf numFmtId="3" fontId="0" fillId="2" borderId="16" xfId="0" applyNumberFormat="1" applyFill="1" applyBorder="1" applyProtection="1"/>
    <xf numFmtId="168" fontId="0" fillId="0" borderId="28" xfId="0" applyNumberFormat="1" applyBorder="1" applyProtection="1"/>
    <xf numFmtId="175" fontId="0" fillId="0" borderId="16" xfId="0" applyNumberFormat="1" applyFill="1" applyBorder="1" applyProtection="1">
      <protection locked="0"/>
    </xf>
    <xf numFmtId="168" fontId="0" fillId="3" borderId="10" xfId="0" quotePrefix="1" applyNumberFormat="1" applyFill="1" applyBorder="1" applyAlignment="1" applyProtection="1">
      <alignment horizontal="center"/>
    </xf>
    <xf numFmtId="0" fontId="0" fillId="2" borderId="5" xfId="0" applyFill="1" applyBorder="1" applyProtection="1"/>
    <xf numFmtId="0" fontId="0" fillId="2" borderId="6" xfId="0" applyFill="1" applyBorder="1" applyProtection="1"/>
    <xf numFmtId="169" fontId="5" fillId="0" borderId="7" xfId="0" applyNumberFormat="1" applyFont="1" applyBorder="1" applyProtection="1"/>
    <xf numFmtId="180" fontId="0" fillId="3" borderId="0" xfId="0" applyNumberFormat="1" applyFill="1" applyBorder="1" applyProtection="1"/>
    <xf numFmtId="181" fontId="5" fillId="0" borderId="21" xfId="1" applyNumberFormat="1" applyFont="1" applyBorder="1" applyProtection="1"/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11" fillId="0" borderId="1" xfId="0" applyFont="1" applyBorder="1" applyAlignment="1" applyProtection="1">
      <protection locked="0"/>
    </xf>
    <xf numFmtId="0" fontId="11" fillId="0" borderId="0" xfId="0" applyFont="1" applyAlignment="1" applyProtection="1">
      <alignment horizontal="left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/>
    </xf>
    <xf numFmtId="0" fontId="5" fillId="0" borderId="1" xfId="0" applyFont="1" applyBorder="1" applyAlignment="1" applyProtection="1">
      <protection locked="0"/>
    </xf>
    <xf numFmtId="0" fontId="0" fillId="2" borderId="30" xfId="0" applyFill="1" applyBorder="1" applyProtection="1"/>
    <xf numFmtId="0" fontId="0" fillId="2" borderId="31" xfId="0" applyFill="1" applyBorder="1" applyProtection="1"/>
    <xf numFmtId="0" fontId="0" fillId="2" borderId="32" xfId="0" applyFill="1" applyBorder="1" applyProtection="1"/>
    <xf numFmtId="0" fontId="0" fillId="0" borderId="31" xfId="0" applyFill="1" applyBorder="1" applyProtection="1"/>
    <xf numFmtId="0" fontId="0" fillId="3" borderId="31" xfId="0" applyFill="1" applyBorder="1" applyProtection="1"/>
    <xf numFmtId="0" fontId="0" fillId="3" borderId="33" xfId="0" applyFill="1" applyBorder="1" applyProtection="1"/>
    <xf numFmtId="0" fontId="0" fillId="2" borderId="34" xfId="0" quotePrefix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5" fillId="3" borderId="35" xfId="0" applyFont="1" applyFill="1" applyBorder="1" applyProtection="1"/>
    <xf numFmtId="0" fontId="0" fillId="2" borderId="36" xfId="0" applyFill="1" applyBorder="1" applyProtection="1"/>
    <xf numFmtId="0" fontId="0" fillId="0" borderId="0" xfId="0" applyBorder="1" applyProtection="1"/>
    <xf numFmtId="0" fontId="0" fillId="3" borderId="35" xfId="0" applyFill="1" applyBorder="1" applyProtection="1"/>
    <xf numFmtId="0" fontId="0" fillId="0" borderId="34" xfId="0" applyFill="1" applyBorder="1" applyProtection="1"/>
    <xf numFmtId="0" fontId="0" fillId="3" borderId="35" xfId="0" applyFill="1" applyBorder="1" applyAlignment="1" applyProtection="1">
      <alignment horizontal="center"/>
    </xf>
    <xf numFmtId="0" fontId="0" fillId="2" borderId="37" xfId="0" quotePrefix="1" applyFill="1" applyBorder="1" applyAlignment="1" applyProtection="1">
      <alignment horizontal="left"/>
    </xf>
    <xf numFmtId="0" fontId="0" fillId="2" borderId="38" xfId="0" quotePrefix="1" applyFill="1" applyBorder="1" applyAlignment="1" applyProtection="1">
      <alignment horizontal="left"/>
    </xf>
    <xf numFmtId="0" fontId="0" fillId="2" borderId="39" xfId="0" quotePrefix="1" applyFill="1" applyBorder="1" applyAlignment="1" applyProtection="1">
      <alignment horizontal="left"/>
    </xf>
    <xf numFmtId="0" fontId="5" fillId="2" borderId="40" xfId="0" quotePrefix="1" applyFont="1" applyFill="1" applyBorder="1" applyAlignment="1" applyProtection="1">
      <alignment horizontal="left"/>
    </xf>
    <xf numFmtId="0" fontId="5" fillId="2" borderId="41" xfId="0" quotePrefix="1" applyFont="1" applyFill="1" applyBorder="1" applyAlignment="1" applyProtection="1">
      <alignment horizontal="left"/>
    </xf>
    <xf numFmtId="0" fontId="5" fillId="2" borderId="39" xfId="0" quotePrefix="1" applyFont="1" applyFill="1" applyBorder="1" applyAlignment="1" applyProtection="1">
      <alignment horizontal="left"/>
    </xf>
    <xf numFmtId="0" fontId="0" fillId="2" borderId="39" xfId="0" applyFill="1" applyBorder="1" applyAlignment="1" applyProtection="1">
      <alignment horizontal="left"/>
    </xf>
    <xf numFmtId="0" fontId="5" fillId="2" borderId="34" xfId="0" applyFont="1" applyFill="1" applyBorder="1" applyAlignment="1" applyProtection="1">
      <alignment horizontal="left"/>
    </xf>
    <xf numFmtId="0" fontId="1" fillId="2" borderId="36" xfId="0" quotePrefix="1" applyFont="1" applyFill="1" applyBorder="1" applyAlignment="1" applyProtection="1">
      <alignment horizontal="left"/>
    </xf>
    <xf numFmtId="0" fontId="0" fillId="2" borderId="37" xfId="0" applyFill="1" applyBorder="1" applyAlignment="1" applyProtection="1">
      <alignment horizontal="left"/>
    </xf>
    <xf numFmtId="0" fontId="0" fillId="2" borderId="38" xfId="0" applyFill="1" applyBorder="1" applyAlignment="1" applyProtection="1">
      <alignment horizontal="left"/>
    </xf>
    <xf numFmtId="0" fontId="0" fillId="2" borderId="40" xfId="0" quotePrefix="1" applyFill="1" applyBorder="1" applyAlignment="1" applyProtection="1">
      <alignment horizontal="left"/>
    </xf>
    <xf numFmtId="0" fontId="5" fillId="2" borderId="42" xfId="0" quotePrefix="1" applyFont="1" applyFill="1" applyBorder="1" applyAlignment="1" applyProtection="1">
      <alignment horizontal="left"/>
    </xf>
    <xf numFmtId="0" fontId="5" fillId="2" borderId="34" xfId="0" quotePrefix="1" applyFont="1" applyFill="1" applyBorder="1" applyAlignment="1" applyProtection="1">
      <alignment horizontal="left"/>
    </xf>
    <xf numFmtId="0" fontId="1" fillId="2" borderId="43" xfId="0" quotePrefix="1" applyFont="1" applyFill="1" applyBorder="1" applyAlignment="1" applyProtection="1">
      <alignment horizontal="left"/>
    </xf>
    <xf numFmtId="0" fontId="0" fillId="2" borderId="44" xfId="0" applyFill="1" applyBorder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4" xfId="0" applyFill="1" applyBorder="1" applyProtection="1"/>
    <xf numFmtId="0" fontId="0" fillId="3" borderId="44" xfId="0" applyFill="1" applyBorder="1" applyProtection="1"/>
    <xf numFmtId="0" fontId="0" fillId="0" borderId="44" xfId="0" applyBorder="1" applyProtection="1"/>
    <xf numFmtId="0" fontId="0" fillId="3" borderId="46" xfId="0" applyFill="1" applyBorder="1" applyProtection="1"/>
    <xf numFmtId="0" fontId="3" fillId="0" borderId="0" xfId="0" applyFont="1" applyProtection="1">
      <protection locked="0"/>
    </xf>
  </cellXfs>
  <cellStyles count="4">
    <cellStyle name="Prozent" xfId="1" builtinId="5"/>
    <cellStyle name="Standard" xfId="0" builtinId="0"/>
    <cellStyle name="Standard_Mafru_Mod" xfId="3"/>
    <cellStyle name="Standard_Weiz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38100</xdr:colOff>
      <xdr:row>21</xdr:row>
      <xdr:rowOff>57150</xdr:rowOff>
    </xdr:from>
    <xdr:to>
      <xdr:col>35</xdr:col>
      <xdr:colOff>151814</xdr:colOff>
      <xdr:row>32</xdr:row>
      <xdr:rowOff>75902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6975" y="4467225"/>
          <a:ext cx="4685714" cy="23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/>
      <sheetData sheetId="2"/>
      <sheetData sheetId="3"/>
      <sheetData sheetId="4"/>
      <sheetData sheetId="5">
        <row r="1">
          <cell r="N1" t="str">
            <v>ha</v>
          </cell>
          <cell r="S1" t="str">
            <v>€</v>
          </cell>
        </row>
      </sheetData>
      <sheetData sheetId="6"/>
      <sheetData sheetId="7"/>
      <sheetData sheetId="8"/>
      <sheetData sheetId="9">
        <row r="3">
          <cell r="E3">
            <v>60</v>
          </cell>
          <cell r="L3">
            <v>9.0000000000000018</v>
          </cell>
          <cell r="R3">
            <v>10</v>
          </cell>
        </row>
        <row r="4">
          <cell r="E4">
            <v>11.418333333333333</v>
          </cell>
          <cell r="L4">
            <v>3</v>
          </cell>
          <cell r="R4">
            <v>10.6</v>
          </cell>
        </row>
        <row r="5">
          <cell r="E5">
            <v>348</v>
          </cell>
          <cell r="L5">
            <v>294.09596799999997</v>
          </cell>
          <cell r="R5">
            <v>5.4000000000000006E-2</v>
          </cell>
        </row>
        <row r="6">
          <cell r="R6">
            <v>5.5999999999999994E-2</v>
          </cell>
        </row>
        <row r="7">
          <cell r="E7">
            <v>490.15994666666666</v>
          </cell>
          <cell r="L7">
            <v>1</v>
          </cell>
          <cell r="R7">
            <v>235</v>
          </cell>
        </row>
        <row r="9">
          <cell r="T9" t="str">
            <v>dt</v>
          </cell>
        </row>
        <row r="26">
          <cell r="F26">
            <v>1047.3319814814815</v>
          </cell>
          <cell r="I26">
            <v>8.8909536395716748E-2</v>
          </cell>
          <cell r="L26">
            <v>2.5711522684439421E-3</v>
          </cell>
        </row>
        <row r="27">
          <cell r="F27">
            <v>518.4</v>
          </cell>
          <cell r="I27">
            <v>0.04</v>
          </cell>
          <cell r="L27">
            <v>0.01</v>
          </cell>
        </row>
        <row r="32">
          <cell r="I32">
            <v>23</v>
          </cell>
        </row>
        <row r="33">
          <cell r="I33">
            <v>15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2:AD43"/>
  <sheetViews>
    <sheetView showGridLines="0" tabSelected="1" zoomScaleNormal="100" workbookViewId="0"/>
  </sheetViews>
  <sheetFormatPr baseColWidth="10" defaultColWidth="11.42578125" defaultRowHeight="16.5" x14ac:dyDescent="0.25"/>
  <cols>
    <col min="1" max="1" width="1.7109375" style="1" customWidth="1"/>
    <col min="2" max="2" width="3.28515625" style="4" customWidth="1"/>
    <col min="3" max="3" width="11.140625" style="4" customWidth="1"/>
    <col min="4" max="4" width="10.42578125" style="4" customWidth="1"/>
    <col min="5" max="5" width="6.42578125" style="4" bestFit="1" customWidth="1"/>
    <col min="6" max="6" width="5.42578125" style="4" customWidth="1"/>
    <col min="7" max="7" width="6.7109375" style="4" customWidth="1"/>
    <col min="8" max="8" width="1" style="4" customWidth="1"/>
    <col min="9" max="10" width="1.7109375" style="4" customWidth="1"/>
    <col min="11" max="11" width="10.28515625" style="4" customWidth="1"/>
    <col min="12" max="14" width="1.7109375" style="4" customWidth="1"/>
    <col min="15" max="15" width="10.28515625" style="4" customWidth="1"/>
    <col min="16" max="18" width="1.7109375" style="4" customWidth="1"/>
    <col min="19" max="21" width="10.28515625" style="4" customWidth="1"/>
    <col min="22" max="24" width="1.7109375" style="4" customWidth="1"/>
    <col min="25" max="27" width="10.28515625" style="4" customWidth="1"/>
    <col min="28" max="29" width="1.7109375" style="4" customWidth="1"/>
    <col min="30" max="16384" width="11.42578125" style="4"/>
  </cols>
  <sheetData>
    <row r="2" spans="1:30" x14ac:dyDescent="0.25">
      <c r="B2" s="115" t="s">
        <v>0</v>
      </c>
      <c r="C2" s="2"/>
      <c r="D2" s="2"/>
      <c r="E2" s="2"/>
      <c r="F2" s="2"/>
      <c r="G2" s="2"/>
      <c r="H2" s="2"/>
      <c r="I2" s="2"/>
      <c r="J2" s="2"/>
      <c r="K2" s="2"/>
      <c r="L2" s="114" t="s">
        <v>41</v>
      </c>
      <c r="M2" s="114"/>
      <c r="N2" s="114"/>
      <c r="O2" s="114"/>
      <c r="P2" s="114"/>
      <c r="Q2" s="114"/>
      <c r="R2" s="114"/>
      <c r="S2" s="114"/>
      <c r="T2" s="114"/>
      <c r="U2" s="3"/>
      <c r="V2" s="116"/>
      <c r="W2" s="116"/>
      <c r="X2" s="117" t="s">
        <v>1</v>
      </c>
      <c r="Y2" s="118" t="str">
        <f>Unit</f>
        <v>ha</v>
      </c>
      <c r="AA2" s="5" t="s">
        <v>2</v>
      </c>
    </row>
    <row r="3" spans="1:30" ht="17.2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0" ht="6.75" customHeight="1" thickTop="1" x14ac:dyDescent="0.25">
      <c r="B4" s="119"/>
      <c r="C4" s="120"/>
      <c r="D4" s="120"/>
      <c r="E4" s="120"/>
      <c r="F4" s="120"/>
      <c r="G4" s="120"/>
      <c r="H4" s="121"/>
      <c r="I4" s="122"/>
      <c r="J4" s="123"/>
      <c r="K4" s="123"/>
      <c r="L4" s="123"/>
      <c r="M4" s="122"/>
      <c r="N4" s="123"/>
      <c r="O4" s="123"/>
      <c r="P4" s="123"/>
      <c r="Q4" s="122"/>
      <c r="R4" s="123"/>
      <c r="S4" s="123"/>
      <c r="T4" s="123"/>
      <c r="U4" s="123"/>
      <c r="V4" s="123"/>
      <c r="W4" s="122"/>
      <c r="X4" s="123"/>
      <c r="Y4" s="123"/>
      <c r="Z4" s="123"/>
      <c r="AA4" s="123"/>
      <c r="AB4" s="124"/>
    </row>
    <row r="5" spans="1:30" x14ac:dyDescent="0.25">
      <c r="B5" s="125" t="s">
        <v>3</v>
      </c>
      <c r="C5" s="7"/>
      <c r="D5" s="8" t="s">
        <v>4</v>
      </c>
      <c r="E5" s="9">
        <f>'[1]F2 Gewinn'!E3</f>
        <v>60</v>
      </c>
      <c r="F5" s="10" t="str">
        <f>IF(ISBLANK(G6),"",G6)</f>
        <v>dt</v>
      </c>
      <c r="G5" s="8"/>
      <c r="H5" s="11"/>
      <c r="I5" s="12"/>
      <c r="J5" s="6"/>
      <c r="K5" s="13" t="s">
        <v>5</v>
      </c>
      <c r="L5" s="14"/>
      <c r="M5" s="126"/>
      <c r="N5" s="14"/>
      <c r="O5" s="15" t="s">
        <v>6</v>
      </c>
      <c r="P5" s="14"/>
      <c r="Q5" s="126"/>
      <c r="R5" s="14"/>
      <c r="S5" s="16" t="s">
        <v>7</v>
      </c>
      <c r="T5" s="17"/>
      <c r="U5" s="18"/>
      <c r="V5" s="6"/>
      <c r="W5" s="12"/>
      <c r="X5" s="14"/>
      <c r="Y5" s="16" t="s">
        <v>8</v>
      </c>
      <c r="Z5" s="18"/>
      <c r="AA5" s="14"/>
      <c r="AB5" s="127"/>
    </row>
    <row r="6" spans="1:30" x14ac:dyDescent="0.25">
      <c r="B6" s="128"/>
      <c r="C6" s="19"/>
      <c r="D6" s="20" t="s">
        <v>9</v>
      </c>
      <c r="E6" s="21">
        <f>'[1]F2 Gewinn'!E4</f>
        <v>11.418333333333333</v>
      </c>
      <c r="F6" s="22" t="str">
        <f>Curr&amp;"  per"</f>
        <v>€  per</v>
      </c>
      <c r="G6" s="23" t="str">
        <f>ProdUnit</f>
        <v>dt</v>
      </c>
      <c r="H6" s="24"/>
      <c r="I6" s="12"/>
      <c r="J6" s="6"/>
      <c r="K6" s="25"/>
      <c r="L6" s="6"/>
      <c r="M6" s="12"/>
      <c r="N6" s="6"/>
      <c r="O6" s="26" t="s">
        <v>10</v>
      </c>
      <c r="P6" s="14"/>
      <c r="Q6" s="126"/>
      <c r="R6" s="6"/>
      <c r="S6" s="27" t="str">
        <f>"Capital ("&amp;Curr&amp;")"</f>
        <v>Capital (€)</v>
      </c>
      <c r="T6" s="28" t="s">
        <v>11</v>
      </c>
      <c r="U6" s="29" t="s">
        <v>12</v>
      </c>
      <c r="V6" s="6"/>
      <c r="W6" s="129"/>
      <c r="X6" s="6"/>
      <c r="Y6" s="25" t="s">
        <v>13</v>
      </c>
      <c r="Z6" s="30" t="s">
        <v>14</v>
      </c>
      <c r="AA6" s="6"/>
      <c r="AB6" s="130"/>
    </row>
    <row r="7" spans="1:30" ht="5.25" customHeight="1" x14ac:dyDescent="0.25">
      <c r="B7" s="131"/>
      <c r="C7" s="12"/>
      <c r="D7" s="12"/>
      <c r="E7" s="12"/>
      <c r="F7" s="12"/>
      <c r="G7" s="12"/>
      <c r="H7" s="12"/>
      <c r="I7" s="12"/>
      <c r="J7" s="6"/>
      <c r="K7" s="31"/>
      <c r="L7" s="31"/>
      <c r="M7" s="32"/>
      <c r="N7" s="31"/>
      <c r="O7" s="31"/>
      <c r="P7" s="31"/>
      <c r="Q7" s="32"/>
      <c r="R7" s="31"/>
      <c r="S7" s="31"/>
      <c r="T7" s="31"/>
      <c r="U7" s="31"/>
      <c r="V7" s="6"/>
      <c r="W7" s="129"/>
      <c r="X7" s="6"/>
      <c r="Y7" s="31"/>
      <c r="Z7" s="31"/>
      <c r="AA7" s="31"/>
      <c r="AB7" s="132"/>
      <c r="AC7" s="33"/>
    </row>
    <row r="8" spans="1:30" ht="18" x14ac:dyDescent="0.25">
      <c r="A8" s="34"/>
      <c r="B8" s="133" t="s">
        <v>15</v>
      </c>
      <c r="C8" s="35"/>
      <c r="D8" s="35"/>
      <c r="E8" s="35"/>
      <c r="F8" s="36" t="str">
        <f>Curr&amp;" :"</f>
        <v>€ :</v>
      </c>
      <c r="G8" s="37">
        <f>E5*E6</f>
        <v>685.1</v>
      </c>
      <c r="H8" s="38"/>
      <c r="I8" s="12"/>
      <c r="J8" s="6"/>
      <c r="K8" s="6"/>
      <c r="L8" s="6"/>
      <c r="M8" s="12"/>
      <c r="N8" s="6"/>
      <c r="O8" s="39">
        <f>$G$8</f>
        <v>685.1</v>
      </c>
      <c r="P8" s="6"/>
      <c r="Q8" s="12"/>
      <c r="R8" s="6"/>
      <c r="S8" s="39">
        <f>$G$8</f>
        <v>685.1</v>
      </c>
      <c r="T8" s="40">
        <f>$G$8</f>
        <v>685.1</v>
      </c>
      <c r="U8" s="39">
        <f>$G$8</f>
        <v>685.1</v>
      </c>
      <c r="V8" s="6"/>
      <c r="W8" s="129"/>
      <c r="X8" s="6"/>
      <c r="Y8" s="6"/>
      <c r="Z8" s="6"/>
      <c r="AA8" s="6"/>
      <c r="AB8" s="130"/>
    </row>
    <row r="9" spans="1:30" ht="18" x14ac:dyDescent="0.25">
      <c r="A9" s="34"/>
      <c r="B9" s="134" t="s">
        <v>16</v>
      </c>
      <c r="C9" s="41"/>
      <c r="D9" s="41"/>
      <c r="E9" s="41"/>
      <c r="F9" s="42" t="str">
        <f>Curr&amp;" :"</f>
        <v>€ :</v>
      </c>
      <c r="G9" s="43">
        <f>'[1]F2 Gewinn'!E5+'[1]F2 Gewinn'!E6</f>
        <v>348</v>
      </c>
      <c r="H9" s="44"/>
      <c r="I9" s="12"/>
      <c r="J9" s="6"/>
      <c r="K9" s="45"/>
      <c r="L9" s="6"/>
      <c r="M9" s="12"/>
      <c r="N9" s="6"/>
      <c r="O9" s="46">
        <f>$G$9</f>
        <v>348</v>
      </c>
      <c r="P9" s="6"/>
      <c r="Q9" s="12"/>
      <c r="R9" s="6"/>
      <c r="S9" s="46">
        <f>$G$9</f>
        <v>348</v>
      </c>
      <c r="T9" s="47">
        <f>$G$9</f>
        <v>348</v>
      </c>
      <c r="U9" s="46">
        <f>$G$9</f>
        <v>348</v>
      </c>
      <c r="V9" s="6"/>
      <c r="W9" s="129"/>
      <c r="X9" s="6"/>
      <c r="Y9" s="48">
        <f>-G9</f>
        <v>-348</v>
      </c>
      <c r="Z9" s="48">
        <f>Y9</f>
        <v>-348</v>
      </c>
      <c r="AA9" s="6"/>
      <c r="AB9" s="130"/>
    </row>
    <row r="10" spans="1:30" ht="18" x14ac:dyDescent="0.25">
      <c r="A10" s="34"/>
      <c r="B10" s="135" t="s">
        <v>17</v>
      </c>
      <c r="C10" s="49"/>
      <c r="D10" s="49"/>
      <c r="E10" s="49"/>
      <c r="F10" s="42" t="str">
        <f>Curr&amp;" :"</f>
        <v>€ :</v>
      </c>
      <c r="G10" s="43">
        <f>'[1]F2 Gewinn'!E7</f>
        <v>490.15994666666666</v>
      </c>
      <c r="H10" s="50"/>
      <c r="I10" s="12"/>
      <c r="J10" s="6"/>
      <c r="K10" s="39">
        <f>G10</f>
        <v>490.15994666666666</v>
      </c>
      <c r="L10" s="6"/>
      <c r="M10" s="12"/>
      <c r="N10" s="6"/>
      <c r="O10" s="51">
        <f>-K10</f>
        <v>-490.15994666666666</v>
      </c>
      <c r="P10" s="6"/>
      <c r="Q10" s="12"/>
      <c r="R10" s="6"/>
      <c r="S10" s="52">
        <f>-K10</f>
        <v>-490.15994666666666</v>
      </c>
      <c r="T10" s="53">
        <f>-K10</f>
        <v>-490.15994666666666</v>
      </c>
      <c r="U10" s="52">
        <f>-K10</f>
        <v>-490.15994666666666</v>
      </c>
      <c r="V10" s="6"/>
      <c r="W10" s="129"/>
      <c r="X10" s="6"/>
      <c r="Y10" s="54">
        <f>K10</f>
        <v>490.15994666666666</v>
      </c>
      <c r="Z10" s="54">
        <f>K10</f>
        <v>490.15994666666666</v>
      </c>
      <c r="AA10" s="6"/>
      <c r="AB10" s="130"/>
    </row>
    <row r="11" spans="1:30" ht="18" x14ac:dyDescent="0.25">
      <c r="A11" s="34"/>
      <c r="B11" s="136" t="s">
        <v>18</v>
      </c>
      <c r="C11" s="55"/>
      <c r="D11" s="55"/>
      <c r="E11" s="55"/>
      <c r="F11" s="55"/>
      <c r="G11" s="55"/>
      <c r="H11" s="56"/>
      <c r="I11" s="12"/>
      <c r="J11" s="6"/>
      <c r="K11" s="57">
        <f>K10</f>
        <v>490.15994666666666</v>
      </c>
      <c r="L11" s="6"/>
      <c r="M11" s="12"/>
      <c r="N11" s="6"/>
      <c r="O11" s="57">
        <f>SUM(O8:O10)</f>
        <v>542.94005333333325</v>
      </c>
      <c r="P11" s="6"/>
      <c r="Q11" s="12"/>
      <c r="R11" s="6"/>
      <c r="S11" s="58"/>
      <c r="T11" s="58"/>
      <c r="U11" s="58"/>
      <c r="V11" s="6"/>
      <c r="W11" s="129"/>
      <c r="X11" s="6"/>
      <c r="Y11" s="59"/>
      <c r="Z11" s="59"/>
      <c r="AA11" s="6"/>
      <c r="AB11" s="130"/>
    </row>
    <row r="12" spans="1:30" ht="18" x14ac:dyDescent="0.25">
      <c r="A12" s="34"/>
      <c r="B12" s="135" t="s">
        <v>19</v>
      </c>
      <c r="C12" s="49"/>
      <c r="D12" s="49"/>
      <c r="E12" s="43">
        <f>'[1]F2 Gewinn'!L5</f>
        <v>294.09596799999997</v>
      </c>
      <c r="F12" s="60" t="str">
        <f>Curr&amp;"  ×"</f>
        <v>€  ×</v>
      </c>
      <c r="G12" s="61">
        <f>'[1]F2 Gewinn'!R5</f>
        <v>5.4000000000000006E-2</v>
      </c>
      <c r="H12" s="62"/>
      <c r="I12" s="12"/>
      <c r="J12" s="6"/>
      <c r="K12" s="39">
        <f>E12*G12</f>
        <v>15.881182272</v>
      </c>
      <c r="L12" s="6"/>
      <c r="M12" s="12"/>
      <c r="N12" s="6"/>
      <c r="O12" s="63">
        <f>-K12</f>
        <v>-15.881182272</v>
      </c>
      <c r="P12" s="6"/>
      <c r="Q12" s="12"/>
      <c r="R12" s="6"/>
      <c r="S12" s="64"/>
      <c r="T12" s="65">
        <f>-K12</f>
        <v>-15.881182272</v>
      </c>
      <c r="U12" s="65">
        <f>-K12</f>
        <v>-15.881182272</v>
      </c>
      <c r="V12" s="6"/>
      <c r="W12" s="129"/>
      <c r="X12" s="6"/>
      <c r="Y12" s="66">
        <f>K12</f>
        <v>15.881182272</v>
      </c>
      <c r="Z12" s="39">
        <f>K12</f>
        <v>15.881182272</v>
      </c>
      <c r="AA12" s="67" t="str">
        <f>IF(ISBLANK($G$6),"je Ertrag","per "&amp;$G$6)</f>
        <v>per dt</v>
      </c>
      <c r="AB12" s="130"/>
      <c r="AD12" s="68"/>
    </row>
    <row r="13" spans="1:30" ht="18" x14ac:dyDescent="0.25">
      <c r="A13" s="34"/>
      <c r="B13" s="137" t="s">
        <v>20</v>
      </c>
      <c r="C13" s="69"/>
      <c r="D13" s="69"/>
      <c r="E13" s="69"/>
      <c r="F13" s="69"/>
      <c r="G13" s="69"/>
      <c r="H13" s="70"/>
      <c r="I13" s="12"/>
      <c r="J13" s="6"/>
      <c r="K13" s="71">
        <f>K11+K12</f>
        <v>506.04112893866665</v>
      </c>
      <c r="L13" s="6"/>
      <c r="M13" s="12"/>
      <c r="N13" s="6"/>
      <c r="O13" s="71">
        <f>SUM(O11:O12)</f>
        <v>527.05887106133321</v>
      </c>
      <c r="P13" s="6"/>
      <c r="Q13" s="12"/>
      <c r="R13" s="6"/>
      <c r="S13" s="64"/>
      <c r="T13" s="58"/>
      <c r="U13" s="58"/>
      <c r="V13" s="6"/>
      <c r="W13" s="129"/>
      <c r="X13" s="6"/>
      <c r="Y13" s="6"/>
      <c r="Z13" s="72">
        <f>SUM(Z9:Z12)</f>
        <v>158.04112893866665</v>
      </c>
      <c r="AA13" s="73">
        <f>IF($E$5=0,0,Z13/$E$5)</f>
        <v>2.6340188156444442</v>
      </c>
      <c r="AB13" s="130"/>
    </row>
    <row r="14" spans="1:30" ht="18" x14ac:dyDescent="0.25">
      <c r="A14" s="34"/>
      <c r="B14" s="135" t="s">
        <v>21</v>
      </c>
      <c r="C14" s="49"/>
      <c r="D14" s="49"/>
      <c r="E14" s="74">
        <f>'[1]F2 Gewinn'!L3</f>
        <v>9.0000000000000018</v>
      </c>
      <c r="F14" s="60" t="s">
        <v>22</v>
      </c>
      <c r="G14" s="74">
        <f>'[1]F2 Gewinn'!R3</f>
        <v>10</v>
      </c>
      <c r="H14" s="75"/>
      <c r="I14" s="12"/>
      <c r="J14" s="6"/>
      <c r="K14" s="46">
        <f>E14*G14</f>
        <v>90.000000000000014</v>
      </c>
      <c r="L14" s="6"/>
      <c r="M14" s="12"/>
      <c r="N14" s="6"/>
      <c r="O14" s="51">
        <f>-K14</f>
        <v>-90.000000000000014</v>
      </c>
      <c r="P14" s="6"/>
      <c r="Q14" s="12"/>
      <c r="R14" s="6"/>
      <c r="S14" s="65">
        <f>-K14</f>
        <v>-90.000000000000014</v>
      </c>
      <c r="T14" s="64"/>
      <c r="U14" s="65">
        <f>-K14</f>
        <v>-90.000000000000014</v>
      </c>
      <c r="V14" s="6"/>
      <c r="W14" s="129"/>
      <c r="X14" s="6"/>
      <c r="Y14" s="66">
        <f>K14</f>
        <v>90.000000000000014</v>
      </c>
      <c r="Z14" s="46">
        <f>K14</f>
        <v>90.000000000000014</v>
      </c>
      <c r="AA14" s="67" t="str">
        <f>IF(ISBLANK($G$6),"je Ertrag","per "&amp;$G$6)</f>
        <v>per dt</v>
      </c>
      <c r="AB14" s="130"/>
    </row>
    <row r="15" spans="1:30" ht="18" x14ac:dyDescent="0.25">
      <c r="A15" s="34"/>
      <c r="B15" s="138" t="s">
        <v>23</v>
      </c>
      <c r="C15" s="49"/>
      <c r="D15" s="49"/>
      <c r="E15" s="49"/>
      <c r="F15" s="49"/>
      <c r="G15" s="49"/>
      <c r="H15" s="50"/>
      <c r="I15" s="12"/>
      <c r="J15" s="6"/>
      <c r="K15" s="76">
        <f>K13+K14</f>
        <v>596.0411289386667</v>
      </c>
      <c r="L15" s="6"/>
      <c r="M15" s="12"/>
      <c r="N15" s="6"/>
      <c r="O15" s="76">
        <f>SUM(O13:O14)</f>
        <v>437.05887106133321</v>
      </c>
      <c r="P15" s="6"/>
      <c r="Q15" s="12"/>
      <c r="R15" s="6"/>
      <c r="S15" s="58"/>
      <c r="T15" s="64"/>
      <c r="U15" s="64"/>
      <c r="V15" s="6"/>
      <c r="W15" s="129"/>
      <c r="X15" s="6"/>
      <c r="Y15" s="6"/>
      <c r="Z15" s="77">
        <f>SUM(Z13:Z14)</f>
        <v>248.04112893866665</v>
      </c>
      <c r="AA15" s="73">
        <f>IF($E$5=0,0,Z15/$E$5)</f>
        <v>4.1340188156444437</v>
      </c>
      <c r="AB15" s="130"/>
    </row>
    <row r="16" spans="1:30" ht="18" x14ac:dyDescent="0.25">
      <c r="A16" s="34"/>
      <c r="B16" s="135" t="s">
        <v>24</v>
      </c>
      <c r="C16" s="49"/>
      <c r="D16" s="49"/>
      <c r="E16" s="78">
        <f>'[1]F2 Gewinn'!L7</f>
        <v>1</v>
      </c>
      <c r="F16" s="60" t="s">
        <v>25</v>
      </c>
      <c r="G16" s="43">
        <f>'[1]F2 Gewinn'!R7</f>
        <v>235</v>
      </c>
      <c r="H16" s="79"/>
      <c r="I16" s="12"/>
      <c r="J16" s="6"/>
      <c r="K16" s="46">
        <f>E16*G16</f>
        <v>235</v>
      </c>
      <c r="L16" s="6"/>
      <c r="M16" s="12"/>
      <c r="N16" s="6"/>
      <c r="O16" s="51">
        <f>-K16</f>
        <v>-235</v>
      </c>
      <c r="P16" s="6"/>
      <c r="Q16" s="12"/>
      <c r="R16" s="6"/>
      <c r="S16" s="63">
        <f>-K16</f>
        <v>-235</v>
      </c>
      <c r="T16" s="63">
        <f>-K16</f>
        <v>-235</v>
      </c>
      <c r="U16" s="64"/>
      <c r="V16" s="6"/>
      <c r="W16" s="129"/>
      <c r="X16" s="6"/>
      <c r="Y16" s="39">
        <f>K16</f>
        <v>235</v>
      </c>
      <c r="Z16" s="46">
        <f>K16</f>
        <v>235</v>
      </c>
      <c r="AA16" s="67"/>
      <c r="AB16" s="130"/>
    </row>
    <row r="17" spans="1:30" ht="18" x14ac:dyDescent="0.25">
      <c r="A17" s="34"/>
      <c r="B17" s="139" t="s">
        <v>26</v>
      </c>
      <c r="C17" s="69"/>
      <c r="D17" s="69"/>
      <c r="E17" s="69"/>
      <c r="F17" s="42" t="str">
        <f>Curr&amp;" :"</f>
        <v>€ :</v>
      </c>
      <c r="G17" s="43">
        <f>SUM('[1]F2 Gewinn'!H23)</f>
        <v>0</v>
      </c>
      <c r="H17" s="70"/>
      <c r="I17" s="12"/>
      <c r="J17" s="6"/>
      <c r="K17" s="54">
        <f>G17</f>
        <v>0</v>
      </c>
      <c r="L17" s="6"/>
      <c r="M17" s="12"/>
      <c r="N17" s="6"/>
      <c r="O17" s="52">
        <f>-K17</f>
        <v>0</v>
      </c>
      <c r="P17" s="6"/>
      <c r="Q17" s="12"/>
      <c r="R17" s="6"/>
      <c r="S17" s="80">
        <f>-K17</f>
        <v>0</v>
      </c>
      <c r="T17" s="80">
        <f>-K17</f>
        <v>0</v>
      </c>
      <c r="U17" s="65">
        <f>-K17</f>
        <v>0</v>
      </c>
      <c r="V17" s="6"/>
      <c r="W17" s="129"/>
      <c r="X17" s="6"/>
      <c r="Y17" s="81">
        <f>K17</f>
        <v>0</v>
      </c>
      <c r="Z17" s="82">
        <f>K17</f>
        <v>0</v>
      </c>
      <c r="AA17" s="67" t="str">
        <f>IF(ISBLANK($G$6),"je Ertrag","per "&amp;$G$6)</f>
        <v>per dt</v>
      </c>
      <c r="AB17" s="130"/>
    </row>
    <row r="18" spans="1:30" ht="18" x14ac:dyDescent="0.25">
      <c r="A18" s="34"/>
      <c r="B18" s="136" t="s">
        <v>27</v>
      </c>
      <c r="C18" s="55"/>
      <c r="D18" s="55"/>
      <c r="E18" s="55"/>
      <c r="F18" s="55"/>
      <c r="G18" s="55"/>
      <c r="H18" s="56"/>
      <c r="I18" s="12"/>
      <c r="J18" s="6"/>
      <c r="K18" s="57">
        <f>SUM(K15:K17)</f>
        <v>831.0411289386667</v>
      </c>
      <c r="L18" s="6"/>
      <c r="M18" s="12"/>
      <c r="N18" s="6"/>
      <c r="O18" s="57">
        <f>SUM(O15:O17)</f>
        <v>202.05887106133321</v>
      </c>
      <c r="P18" s="6"/>
      <c r="Q18" s="12"/>
      <c r="R18" s="6"/>
      <c r="S18" s="58"/>
      <c r="T18" s="58"/>
      <c r="U18" s="58"/>
      <c r="V18" s="6"/>
      <c r="W18" s="129"/>
      <c r="X18" s="6"/>
      <c r="Y18" s="6"/>
      <c r="Z18" s="83">
        <f>SUM(Z15:Z17)</f>
        <v>483.04112893866665</v>
      </c>
      <c r="AA18" s="73">
        <f>IF($E$5=0,0,Z18/$E$5)</f>
        <v>8.0506854823111116</v>
      </c>
      <c r="AB18" s="130"/>
    </row>
    <row r="19" spans="1:30" ht="18" x14ac:dyDescent="0.25">
      <c r="A19" s="34"/>
      <c r="B19" s="140" t="s">
        <v>28</v>
      </c>
      <c r="C19" s="8"/>
      <c r="D19" s="8"/>
      <c r="E19" s="8"/>
      <c r="F19" s="8"/>
      <c r="G19" s="84" t="s">
        <v>29</v>
      </c>
      <c r="H19" s="85"/>
      <c r="I19" s="12"/>
      <c r="J19" s="6"/>
      <c r="K19" s="86"/>
      <c r="L19" s="6"/>
      <c r="M19" s="12"/>
      <c r="N19" s="6"/>
      <c r="O19" s="86"/>
      <c r="P19" s="6"/>
      <c r="Q19" s="12"/>
      <c r="R19" s="6"/>
      <c r="S19" s="87">
        <f>SUM(S8:S18)</f>
        <v>217.94005333333325</v>
      </c>
      <c r="T19" s="87">
        <f>SUM(T8:T18)</f>
        <v>292.05887106133321</v>
      </c>
      <c r="U19" s="87">
        <f>SUM(U8:U18)</f>
        <v>437.05887106133321</v>
      </c>
      <c r="V19" s="6"/>
      <c r="W19" s="129"/>
      <c r="X19" s="6"/>
      <c r="Y19" s="86"/>
      <c r="Z19" s="6"/>
      <c r="AA19" s="6"/>
      <c r="AB19" s="130"/>
    </row>
    <row r="20" spans="1:30" ht="18" x14ac:dyDescent="0.25">
      <c r="A20" s="34"/>
      <c r="B20" s="140" t="s">
        <v>30</v>
      </c>
      <c r="C20" s="8"/>
      <c r="D20" s="8"/>
      <c r="E20" s="8"/>
      <c r="F20" s="8"/>
      <c r="G20" s="88" t="s">
        <v>31</v>
      </c>
      <c r="H20" s="89"/>
      <c r="I20" s="12"/>
      <c r="J20" s="6"/>
      <c r="K20" s="86"/>
      <c r="L20" s="6"/>
      <c r="M20" s="12"/>
      <c r="N20" s="6"/>
      <c r="O20" s="86"/>
      <c r="P20" s="6"/>
      <c r="Q20" s="12"/>
      <c r="R20" s="6"/>
      <c r="S20" s="90">
        <f>E12</f>
        <v>294.09596799999997</v>
      </c>
      <c r="T20" s="90">
        <f>$E$14</f>
        <v>9.0000000000000018</v>
      </c>
      <c r="U20" s="91">
        <f>$E$16</f>
        <v>1</v>
      </c>
      <c r="V20" s="6"/>
      <c r="W20" s="129"/>
      <c r="X20" s="6"/>
      <c r="Y20" s="86"/>
      <c r="Z20" s="86"/>
      <c r="AA20" s="6"/>
      <c r="AB20" s="130"/>
    </row>
    <row r="21" spans="1:30" ht="18" x14ac:dyDescent="0.25">
      <c r="A21" s="34"/>
      <c r="B21" s="141"/>
      <c r="C21" s="20"/>
      <c r="D21" s="20"/>
      <c r="E21" s="20"/>
      <c r="F21" s="20"/>
      <c r="G21" s="92" t="s">
        <v>32</v>
      </c>
      <c r="H21" s="93"/>
      <c r="I21" s="12"/>
      <c r="J21" s="6"/>
      <c r="K21" s="86"/>
      <c r="L21" s="6"/>
      <c r="M21" s="12"/>
      <c r="N21" s="6"/>
      <c r="O21" s="86"/>
      <c r="P21" s="6"/>
      <c r="Q21" s="12"/>
      <c r="R21" s="6"/>
      <c r="S21" s="94">
        <f>IF(S20=0,0,S19/S20)</f>
        <v>0.74105080329878337</v>
      </c>
      <c r="T21" s="95">
        <f>IF(T20=0,0,T19/T20)</f>
        <v>32.450985673481462</v>
      </c>
      <c r="U21" s="95">
        <f>IF(U20=0,0,U19/U20)</f>
        <v>437.05887106133321</v>
      </c>
      <c r="V21" s="6"/>
      <c r="W21" s="129"/>
      <c r="X21" s="6"/>
      <c r="Y21" s="86"/>
      <c r="Z21" s="86"/>
      <c r="AA21" s="6"/>
      <c r="AB21" s="130"/>
      <c r="AD21" s="155" t="s">
        <v>42</v>
      </c>
    </row>
    <row r="22" spans="1:30" ht="6" customHeight="1" x14ac:dyDescent="0.25">
      <c r="A22" s="34"/>
      <c r="B22" s="131"/>
      <c r="C22" s="12"/>
      <c r="D22" s="12"/>
      <c r="E22" s="12"/>
      <c r="F22" s="12"/>
      <c r="G22" s="12"/>
      <c r="H22" s="12"/>
      <c r="I22" s="12"/>
      <c r="J22" s="6"/>
      <c r="K22" s="6"/>
      <c r="L22" s="6"/>
      <c r="M22" s="12"/>
      <c r="N22" s="6"/>
      <c r="O22" s="6"/>
      <c r="P22" s="6"/>
      <c r="Q22" s="12"/>
      <c r="R22" s="6"/>
      <c r="S22" s="6"/>
      <c r="T22" s="6"/>
      <c r="U22" s="6"/>
      <c r="V22" s="6"/>
      <c r="W22" s="129"/>
      <c r="X22" s="6"/>
      <c r="Y22" s="6"/>
      <c r="Z22" s="86"/>
      <c r="AA22" s="6"/>
      <c r="AB22" s="130"/>
    </row>
    <row r="23" spans="1:30" ht="18" x14ac:dyDescent="0.25">
      <c r="A23" s="34"/>
      <c r="B23" s="142" t="s">
        <v>33</v>
      </c>
      <c r="C23" s="35"/>
      <c r="D23" s="35"/>
      <c r="E23" s="37">
        <f>'[1]F2 Gewinn'!F26</f>
        <v>1047.3319814814815</v>
      </c>
      <c r="F23" s="96" t="str">
        <f>Curr&amp;"  ×"</f>
        <v>€  ×</v>
      </c>
      <c r="G23" s="97">
        <f>'[1]F2 Gewinn'!I26</f>
        <v>8.8909536395716748E-2</v>
      </c>
      <c r="H23" s="38"/>
      <c r="I23" s="12"/>
      <c r="J23" s="6"/>
      <c r="K23" s="39">
        <f>E23*G23</f>
        <v>93.11780092592592</v>
      </c>
      <c r="L23" s="6"/>
      <c r="M23" s="12"/>
      <c r="N23" s="6"/>
      <c r="O23" s="63">
        <f t="shared" ref="O23:O28" si="0">-K23</f>
        <v>-93.11780092592592</v>
      </c>
      <c r="P23" s="6"/>
      <c r="Q23" s="12"/>
      <c r="R23" s="6"/>
      <c r="S23" s="63">
        <f>-K23</f>
        <v>-93.11780092592592</v>
      </c>
      <c r="T23" s="63">
        <f>-K23</f>
        <v>-93.11780092592592</v>
      </c>
      <c r="U23" s="63">
        <f t="shared" ref="U23:U28" si="1">-K23</f>
        <v>-93.11780092592592</v>
      </c>
      <c r="V23" s="6"/>
      <c r="W23" s="129"/>
      <c r="X23" s="6"/>
      <c r="Y23" s="39">
        <f t="shared" ref="Y23:Y28" si="2">K23</f>
        <v>93.11780092592592</v>
      </c>
      <c r="Z23" s="86"/>
      <c r="AA23" s="6"/>
      <c r="AB23" s="130"/>
    </row>
    <row r="24" spans="1:30" ht="18" x14ac:dyDescent="0.25">
      <c r="A24" s="34"/>
      <c r="B24" s="143" t="s">
        <v>34</v>
      </c>
      <c r="C24" s="41"/>
      <c r="D24" s="41"/>
      <c r="E24" s="98">
        <f>'[1]F2 Gewinn'!F27</f>
        <v>518.4</v>
      </c>
      <c r="F24" s="99" t="str">
        <f>Curr&amp;"  ×"</f>
        <v>€  ×</v>
      </c>
      <c r="G24" s="100">
        <f>'[1]F2 Gewinn'!I27</f>
        <v>0.04</v>
      </c>
      <c r="H24" s="44"/>
      <c r="I24" s="12"/>
      <c r="J24" s="6"/>
      <c r="K24" s="82">
        <f>E24*G24</f>
        <v>20.736000000000001</v>
      </c>
      <c r="L24" s="6"/>
      <c r="M24" s="12"/>
      <c r="N24" s="6"/>
      <c r="O24" s="101">
        <f t="shared" si="0"/>
        <v>-20.736000000000001</v>
      </c>
      <c r="P24" s="6"/>
      <c r="Q24" s="12"/>
      <c r="R24" s="6"/>
      <c r="S24" s="80">
        <f>-K24</f>
        <v>-20.736000000000001</v>
      </c>
      <c r="T24" s="101">
        <f>-K24</f>
        <v>-20.736000000000001</v>
      </c>
      <c r="U24" s="101">
        <f t="shared" si="1"/>
        <v>-20.736000000000001</v>
      </c>
      <c r="V24" s="6"/>
      <c r="W24" s="129"/>
      <c r="X24" s="6"/>
      <c r="Y24" s="46">
        <f t="shared" si="2"/>
        <v>20.736000000000001</v>
      </c>
      <c r="Z24" s="86"/>
      <c r="AA24" s="6"/>
      <c r="AB24" s="130"/>
    </row>
    <row r="25" spans="1:30" ht="18" x14ac:dyDescent="0.25">
      <c r="A25" s="34"/>
      <c r="B25" s="135" t="s">
        <v>35</v>
      </c>
      <c r="C25" s="49"/>
      <c r="D25" s="49"/>
      <c r="E25" s="43">
        <f>SUM(E23:E24)/2</f>
        <v>782.8659907407407</v>
      </c>
      <c r="F25" s="102" t="str">
        <f>Curr&amp;"  ×"</f>
        <v>€  ×</v>
      </c>
      <c r="G25" s="61">
        <f>'[1]F2 Gewinn'!R6</f>
        <v>5.5999999999999994E-2</v>
      </c>
      <c r="H25" s="50"/>
      <c r="I25" s="12"/>
      <c r="J25" s="6"/>
      <c r="K25" s="46">
        <f>E25*G25</f>
        <v>43.840495481481476</v>
      </c>
      <c r="L25" s="6"/>
      <c r="M25" s="12"/>
      <c r="N25" s="6"/>
      <c r="O25" s="51">
        <f t="shared" si="0"/>
        <v>-43.840495481481476</v>
      </c>
      <c r="P25" s="6"/>
      <c r="Q25" s="12"/>
      <c r="R25" s="6"/>
      <c r="S25" s="6"/>
      <c r="T25" s="103">
        <f>-K25</f>
        <v>-43.840495481481476</v>
      </c>
      <c r="U25" s="103">
        <f t="shared" si="1"/>
        <v>-43.840495481481476</v>
      </c>
      <c r="V25" s="6"/>
      <c r="W25" s="129"/>
      <c r="X25" s="6"/>
      <c r="Y25" s="46">
        <f t="shared" si="2"/>
        <v>43.840495481481476</v>
      </c>
      <c r="Z25" s="86"/>
      <c r="AA25" s="6"/>
      <c r="AB25" s="130"/>
    </row>
    <row r="26" spans="1:30" ht="18" x14ac:dyDescent="0.25">
      <c r="A26" s="34"/>
      <c r="B26" s="135" t="s">
        <v>36</v>
      </c>
      <c r="C26" s="49"/>
      <c r="D26" s="49"/>
      <c r="E26" s="104">
        <f>'[1]F2 Gewinn'!L4</f>
        <v>3</v>
      </c>
      <c r="F26" s="60" t="s">
        <v>22</v>
      </c>
      <c r="G26" s="74">
        <f>'[1]F2 Gewinn'!R4</f>
        <v>10.6</v>
      </c>
      <c r="H26" s="75"/>
      <c r="I26" s="12"/>
      <c r="J26" s="6"/>
      <c r="K26" s="46">
        <f>E26*G26</f>
        <v>31.799999999999997</v>
      </c>
      <c r="L26" s="6"/>
      <c r="M26" s="12"/>
      <c r="N26" s="6"/>
      <c r="O26" s="51">
        <f t="shared" si="0"/>
        <v>-31.799999999999997</v>
      </c>
      <c r="P26" s="6"/>
      <c r="Q26" s="12"/>
      <c r="R26" s="6"/>
      <c r="S26" s="63">
        <f>-K26</f>
        <v>-31.799999999999997</v>
      </c>
      <c r="T26" s="105"/>
      <c r="U26" s="51">
        <f t="shared" si="1"/>
        <v>-31.799999999999997</v>
      </c>
      <c r="V26" s="6"/>
      <c r="W26" s="129"/>
      <c r="X26" s="6"/>
      <c r="Y26" s="46">
        <f t="shared" si="2"/>
        <v>31.799999999999997</v>
      </c>
      <c r="Z26" s="86"/>
      <c r="AA26" s="6"/>
      <c r="AB26" s="130"/>
    </row>
    <row r="27" spans="1:30" ht="18" x14ac:dyDescent="0.25">
      <c r="A27" s="34"/>
      <c r="B27" s="135" t="s">
        <v>37</v>
      </c>
      <c r="C27" s="49"/>
      <c r="D27" s="49"/>
      <c r="E27" s="49"/>
      <c r="F27" s="42" t="str">
        <f>Curr&amp;" :"</f>
        <v>€ :</v>
      </c>
      <c r="G27" s="74">
        <f>'[1]F2 Gewinn'!F26*'[1]F2 Gewinn'!L26+'[1]F2 Gewinn'!F27*'[1]F2 Gewinn'!L27+'[1]F2 Gewinn'!I32</f>
        <v>30.876850000000001</v>
      </c>
      <c r="H27" s="50"/>
      <c r="I27" s="12"/>
      <c r="J27" s="6"/>
      <c r="K27" s="46">
        <f>G27</f>
        <v>30.876850000000001</v>
      </c>
      <c r="L27" s="6"/>
      <c r="M27" s="12"/>
      <c r="N27" s="6"/>
      <c r="O27" s="51">
        <f t="shared" si="0"/>
        <v>-30.876850000000001</v>
      </c>
      <c r="P27" s="6"/>
      <c r="Q27" s="12"/>
      <c r="R27" s="6"/>
      <c r="S27" s="101">
        <f>-K27</f>
        <v>-30.876850000000001</v>
      </c>
      <c r="T27" s="101">
        <f>-K27</f>
        <v>-30.876850000000001</v>
      </c>
      <c r="U27" s="101">
        <f t="shared" si="1"/>
        <v>-30.876850000000001</v>
      </c>
      <c r="V27" s="6"/>
      <c r="W27" s="129"/>
      <c r="X27" s="6"/>
      <c r="Y27" s="46">
        <f t="shared" si="2"/>
        <v>30.876850000000001</v>
      </c>
      <c r="Z27" s="86"/>
      <c r="AA27" s="6"/>
      <c r="AB27" s="130"/>
    </row>
    <row r="28" spans="1:30" ht="18" x14ac:dyDescent="0.25">
      <c r="A28" s="34"/>
      <c r="B28" s="144" t="s">
        <v>38</v>
      </c>
      <c r="C28" s="55"/>
      <c r="D28" s="55"/>
      <c r="E28" s="55"/>
      <c r="F28" s="42" t="str">
        <f>Curr&amp;" :"</f>
        <v>€ :</v>
      </c>
      <c r="G28" s="74">
        <f>'[1]F2 Gewinn'!I33</f>
        <v>15</v>
      </c>
      <c r="H28" s="56"/>
      <c r="I28" s="12"/>
      <c r="J28" s="6"/>
      <c r="K28" s="54">
        <f>G28</f>
        <v>15</v>
      </c>
      <c r="L28" s="6"/>
      <c r="M28" s="12"/>
      <c r="N28" s="6"/>
      <c r="O28" s="52">
        <f t="shared" si="0"/>
        <v>-15</v>
      </c>
      <c r="P28" s="6"/>
      <c r="Q28" s="12"/>
      <c r="R28" s="6"/>
      <c r="S28" s="52">
        <f>-K28</f>
        <v>-15</v>
      </c>
      <c r="T28" s="52">
        <f>-K28</f>
        <v>-15</v>
      </c>
      <c r="U28" s="52">
        <f t="shared" si="1"/>
        <v>-15</v>
      </c>
      <c r="V28" s="6"/>
      <c r="W28" s="129"/>
      <c r="X28" s="6"/>
      <c r="Y28" s="54">
        <f t="shared" si="2"/>
        <v>15</v>
      </c>
      <c r="Z28" s="67"/>
      <c r="AA28" s="6"/>
      <c r="AB28" s="130"/>
    </row>
    <row r="29" spans="1:30" ht="18" x14ac:dyDescent="0.25">
      <c r="A29" s="34"/>
      <c r="B29" s="145" t="s">
        <v>39</v>
      </c>
      <c r="C29" s="106"/>
      <c r="D29" s="106"/>
      <c r="E29" s="106"/>
      <c r="F29" s="106"/>
      <c r="G29" s="106"/>
      <c r="H29" s="107"/>
      <c r="I29" s="12"/>
      <c r="J29" s="6"/>
      <c r="K29" s="57">
        <f>SUM(K18:K28)</f>
        <v>1066.4122753460742</v>
      </c>
      <c r="L29" s="6"/>
      <c r="M29" s="12"/>
      <c r="N29" s="6"/>
      <c r="O29" s="57">
        <f>SUM(O18:O28)</f>
        <v>-33.312275346074188</v>
      </c>
      <c r="P29" s="6"/>
      <c r="Q29" s="12"/>
      <c r="R29" s="6"/>
      <c r="S29" s="14"/>
      <c r="T29" s="14"/>
      <c r="U29" s="14"/>
      <c r="V29" s="6"/>
      <c r="W29" s="129"/>
      <c r="X29" s="6"/>
      <c r="Y29" s="108">
        <f>SUM(Y8:Y28)</f>
        <v>718.41227534607401</v>
      </c>
      <c r="Z29" s="73">
        <f>IF($E$5=0,0,Y29/$E$5)</f>
        <v>11.973537922434566</v>
      </c>
      <c r="AA29" s="6" t="str">
        <f>IF(ISBLANK($G$6),"je Ertrag","per "&amp;$G$6)</f>
        <v>per dt</v>
      </c>
      <c r="AB29" s="130"/>
    </row>
    <row r="30" spans="1:30" ht="18" x14ac:dyDescent="0.25">
      <c r="A30" s="34"/>
      <c r="B30" s="140" t="s">
        <v>40</v>
      </c>
      <c r="C30" s="8"/>
      <c r="D30" s="8"/>
      <c r="E30" s="8"/>
      <c r="F30" s="8"/>
      <c r="G30" s="84" t="s">
        <v>29</v>
      </c>
      <c r="H30" s="85"/>
      <c r="I30" s="12"/>
      <c r="J30" s="6"/>
      <c r="K30" s="45"/>
      <c r="L30" s="6"/>
      <c r="M30" s="12"/>
      <c r="N30" s="6"/>
      <c r="O30" s="109"/>
      <c r="P30" s="6"/>
      <c r="Q30" s="12"/>
      <c r="R30" s="6"/>
      <c r="S30" s="87">
        <f>SUM(S8:S18,S23:S28)</f>
        <v>26.409402407407327</v>
      </c>
      <c r="T30" s="87">
        <f>SUM(T8:T18,T23:T28)</f>
        <v>88.487724653925838</v>
      </c>
      <c r="U30" s="87">
        <f>SUM(U8:U18,U23:U28)</f>
        <v>201.68772465392584</v>
      </c>
      <c r="V30" s="6"/>
      <c r="W30" s="129"/>
      <c r="X30" s="6"/>
      <c r="Y30" s="6"/>
      <c r="Z30" s="6"/>
      <c r="AA30" s="6"/>
      <c r="AB30" s="130"/>
    </row>
    <row r="31" spans="1:30" ht="18" x14ac:dyDescent="0.25">
      <c r="A31" s="34"/>
      <c r="B31" s="146" t="s">
        <v>30</v>
      </c>
      <c r="C31" s="8"/>
      <c r="D31" s="8"/>
      <c r="E31" s="8"/>
      <c r="F31" s="8"/>
      <c r="G31" s="88" t="s">
        <v>31</v>
      </c>
      <c r="H31" s="89"/>
      <c r="I31" s="12"/>
      <c r="J31" s="6"/>
      <c r="K31" s="45"/>
      <c r="L31" s="6"/>
      <c r="M31" s="12"/>
      <c r="N31" s="6"/>
      <c r="O31" s="6"/>
      <c r="P31" s="6"/>
      <c r="Q31" s="12"/>
      <c r="R31" s="6"/>
      <c r="S31" s="90">
        <f>E12+E25</f>
        <v>1076.9619587407406</v>
      </c>
      <c r="T31" s="90">
        <f>$E$14+$E$26</f>
        <v>12.000000000000002</v>
      </c>
      <c r="U31" s="91">
        <f>$E$16</f>
        <v>1</v>
      </c>
      <c r="V31" s="6"/>
      <c r="W31" s="129"/>
      <c r="X31" s="6"/>
      <c r="Y31" s="6"/>
      <c r="Z31" s="6"/>
      <c r="AA31" s="6"/>
      <c r="AB31" s="130"/>
    </row>
    <row r="32" spans="1:30" ht="18" x14ac:dyDescent="0.25">
      <c r="A32" s="34"/>
      <c r="B32" s="146"/>
      <c r="C32" s="8"/>
      <c r="D32" s="8"/>
      <c r="E32" s="8"/>
      <c r="F32" s="8"/>
      <c r="G32" s="88" t="s">
        <v>32</v>
      </c>
      <c r="H32" s="89"/>
      <c r="I32" s="12"/>
      <c r="J32" s="6"/>
      <c r="K32" s="45"/>
      <c r="L32" s="6"/>
      <c r="M32" s="12"/>
      <c r="N32" s="6"/>
      <c r="O32" s="6"/>
      <c r="P32" s="6"/>
      <c r="Q32" s="12"/>
      <c r="R32" s="6"/>
      <c r="S32" s="110">
        <f>IF(S31=0,0,S30/S31)</f>
        <v>2.452213116077661E-2</v>
      </c>
      <c r="T32" s="95">
        <f>IF(T31=0,0,T30/T31)</f>
        <v>7.3739770544938184</v>
      </c>
      <c r="U32" s="95">
        <f>IF(U31=0,0,U30/U31)</f>
        <v>201.68772465392584</v>
      </c>
      <c r="V32" s="6"/>
      <c r="W32" s="129"/>
      <c r="X32" s="6"/>
      <c r="Y32" s="6"/>
      <c r="Z32" s="6"/>
      <c r="AA32" s="6"/>
      <c r="AB32" s="130"/>
    </row>
    <row r="33" spans="2:29" ht="6.75" customHeight="1" thickBot="1" x14ac:dyDescent="0.3">
      <c r="B33" s="147"/>
      <c r="C33" s="148"/>
      <c r="D33" s="148"/>
      <c r="E33" s="148"/>
      <c r="F33" s="148"/>
      <c r="G33" s="149"/>
      <c r="H33" s="150"/>
      <c r="I33" s="151"/>
      <c r="J33" s="152"/>
      <c r="K33" s="152"/>
      <c r="L33" s="152"/>
      <c r="M33" s="151"/>
      <c r="N33" s="152"/>
      <c r="O33" s="152"/>
      <c r="P33" s="152"/>
      <c r="Q33" s="151"/>
      <c r="R33" s="152"/>
      <c r="S33" s="152"/>
      <c r="T33" s="152"/>
      <c r="U33" s="152"/>
      <c r="V33" s="152"/>
      <c r="W33" s="153"/>
      <c r="X33" s="152"/>
      <c r="Y33" s="152"/>
      <c r="Z33" s="152"/>
      <c r="AA33" s="152"/>
      <c r="AB33" s="154"/>
    </row>
    <row r="34" spans="2:29" ht="6.75" customHeight="1" thickTop="1" x14ac:dyDescent="0.25">
      <c r="B34" s="111"/>
      <c r="C34" s="111"/>
      <c r="D34" s="111"/>
      <c r="E34" s="111"/>
      <c r="F34" s="111"/>
      <c r="G34" s="112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X34" s="111"/>
      <c r="Y34" s="111"/>
      <c r="Z34" s="111"/>
      <c r="AA34" s="111"/>
      <c r="AB34" s="111"/>
    </row>
    <row r="35" spans="2:29" x14ac:dyDescent="0.25">
      <c r="G35" s="113"/>
      <c r="I35" s="111"/>
      <c r="M35" s="111"/>
      <c r="Q35" s="111"/>
    </row>
    <row r="36" spans="2:29" x14ac:dyDescent="0.25">
      <c r="G36" s="113"/>
      <c r="I36" s="111"/>
      <c r="M36" s="111"/>
      <c r="Q36" s="111"/>
      <c r="W36" s="111"/>
    </row>
    <row r="37" spans="2:29" x14ac:dyDescent="0.25">
      <c r="G37" s="113"/>
      <c r="I37" s="111"/>
      <c r="M37" s="111"/>
      <c r="W37" s="111"/>
      <c r="AC37" s="111"/>
    </row>
    <row r="38" spans="2:29" x14ac:dyDescent="0.25">
      <c r="I38" s="111"/>
      <c r="M38" s="111"/>
      <c r="Q38" s="111"/>
      <c r="W38" s="111"/>
      <c r="AC38" s="111"/>
    </row>
    <row r="39" spans="2:29" x14ac:dyDescent="0.25">
      <c r="I39" s="111"/>
    </row>
    <row r="40" spans="2:29" x14ac:dyDescent="0.25">
      <c r="I40" s="111"/>
    </row>
    <row r="41" spans="2:29" x14ac:dyDescent="0.25">
      <c r="I41" s="111"/>
    </row>
    <row r="42" spans="2:29" x14ac:dyDescent="0.25">
      <c r="I42" s="111"/>
    </row>
    <row r="43" spans="2:29" x14ac:dyDescent="0.25">
      <c r="I43" s="111"/>
    </row>
  </sheetData>
  <mergeCells count="1">
    <mergeCell ref="L2:T2"/>
  </mergeCells>
  <pageMargins left="0.31496062992125984" right="0.31496062992125984" top="0.78740157480314965" bottom="0.59055118110236227" header="0.51181102362204722" footer="0.32"/>
  <pageSetup paperSize="9" scale="97" orientation="landscape" horizontalDpi="300" verticalDpi="300"/>
  <headerFooter alignWithMargins="0">
    <oddFooter>&amp;L&amp;8Quantifizierung von Produktionsverfahren: Marktfruchtbau&amp;R&amp;P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F5 Analysys</vt:lpstr>
      <vt:lpstr>'F5 Analysys'!Print_Area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2019-09-10T08:55:09Z</dcterms:created>
  <dcterms:modified xsi:type="dcterms:W3CDTF">2019-09-10T09:00:39Z</dcterms:modified>
</cp:coreProperties>
</file>